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DE53CF86-6371-42EA-BBC8-EF7DB7E9A4CF}" xr6:coauthVersionLast="46" xr6:coauthVersionMax="46" xr10:uidLastSave="{00000000-0000-0000-0000-000000000000}"/>
  <bookViews>
    <workbookView xWindow="-120" yWindow="-120" windowWidth="29040" windowHeight="15840" xr2:uid="{34297113-C678-4BF0-A851-2E4D0BD30984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1" i="1" l="1"/>
  <c r="G61" i="1"/>
  <c r="H61" i="1"/>
  <c r="E61" i="1"/>
  <c r="D61" i="1"/>
  <c r="C61" i="1"/>
  <c r="Q39" i="1"/>
  <c r="N39" i="1"/>
  <c r="O39" i="1"/>
  <c r="K39" i="1"/>
  <c r="L39" i="1"/>
  <c r="P39" i="1"/>
  <c r="J39" i="1"/>
  <c r="M39" i="1"/>
  <c r="G39" i="1"/>
  <c r="E39" i="1"/>
  <c r="L18" i="1"/>
  <c r="K18" i="1"/>
  <c r="J18" i="1"/>
  <c r="H18" i="1"/>
  <c r="I18" i="1"/>
  <c r="E18" i="1"/>
  <c r="N38" i="1" l="1"/>
  <c r="M38" i="1"/>
  <c r="O38" i="1" s="1"/>
  <c r="K38" i="1"/>
  <c r="P38" i="1" s="1"/>
  <c r="J38" i="1"/>
  <c r="L38" i="1" s="1"/>
  <c r="E38" i="1"/>
  <c r="G38" i="1" s="1"/>
  <c r="N37" i="1"/>
  <c r="K37" i="1"/>
  <c r="H37" i="1"/>
  <c r="M37" i="1" s="1"/>
  <c r="O37" i="1" s="1"/>
  <c r="F37" i="1"/>
  <c r="P37" i="1" s="1"/>
  <c r="E37" i="1"/>
  <c r="G37" i="1" s="1"/>
  <c r="O36" i="1"/>
  <c r="Q36" i="1" s="1"/>
  <c r="D58" i="1" s="1"/>
  <c r="G58" i="1" s="1"/>
  <c r="N36" i="1"/>
  <c r="M36" i="1"/>
  <c r="J36" i="1"/>
  <c r="L36" i="1" s="1"/>
  <c r="F36" i="1"/>
  <c r="P36" i="1" s="1"/>
  <c r="E36" i="1"/>
  <c r="G36" i="1" s="1"/>
  <c r="N35" i="1"/>
  <c r="M35" i="1"/>
  <c r="J35" i="1"/>
  <c r="L35" i="1" s="1"/>
  <c r="F35" i="1"/>
  <c r="P35" i="1" s="1"/>
  <c r="E35" i="1"/>
  <c r="P34" i="1"/>
  <c r="O34" i="1"/>
  <c r="J34" i="1"/>
  <c r="L34" i="1" s="1"/>
  <c r="F34" i="1"/>
  <c r="E34" i="1"/>
  <c r="G34" i="1" s="1"/>
  <c r="P33" i="1"/>
  <c r="O33" i="1"/>
  <c r="J33" i="1"/>
  <c r="L33" i="1" s="1"/>
  <c r="F33" i="1"/>
  <c r="E33" i="1"/>
  <c r="G33" i="1" s="1"/>
  <c r="P32" i="1"/>
  <c r="O32" i="1"/>
  <c r="P31" i="1"/>
  <c r="O31" i="1"/>
  <c r="I17" i="1"/>
  <c r="G17" i="1"/>
  <c r="H17" i="1" s="1"/>
  <c r="D17" i="1"/>
  <c r="E17" i="1" s="1"/>
  <c r="J16" i="1"/>
  <c r="I16" i="1"/>
  <c r="H16" i="1"/>
  <c r="E16" i="1"/>
  <c r="J15" i="1"/>
  <c r="I15" i="1"/>
  <c r="H15" i="1"/>
  <c r="E15" i="1"/>
  <c r="J14" i="1"/>
  <c r="I14" i="1"/>
  <c r="H14" i="1"/>
  <c r="E14" i="1"/>
  <c r="J13" i="1"/>
  <c r="I13" i="1"/>
  <c r="H13" i="1"/>
  <c r="E13" i="1"/>
  <c r="J12" i="1"/>
  <c r="I12" i="1"/>
  <c r="H12" i="1"/>
  <c r="E12" i="1"/>
  <c r="J11" i="1"/>
  <c r="I11" i="1"/>
  <c r="H11" i="1"/>
  <c r="E11" i="1"/>
  <c r="J10" i="1"/>
  <c r="I10" i="1"/>
  <c r="H10" i="1"/>
  <c r="E10" i="1"/>
  <c r="Q34" i="1" l="1"/>
  <c r="D56" i="1" s="1"/>
  <c r="G56" i="1" s="1"/>
  <c r="K13" i="1"/>
  <c r="L13" i="1" s="1"/>
  <c r="K16" i="1"/>
  <c r="C59" i="1" s="1"/>
  <c r="F59" i="1" s="1"/>
  <c r="K11" i="1"/>
  <c r="C54" i="1" s="1"/>
  <c r="F54" i="1" s="1"/>
  <c r="K12" i="1"/>
  <c r="C55" i="1" s="1"/>
  <c r="F55" i="1" s="1"/>
  <c r="K15" i="1"/>
  <c r="K14" i="1"/>
  <c r="C57" i="1" s="1"/>
  <c r="F57" i="1" s="1"/>
  <c r="J17" i="1"/>
  <c r="K17" i="1" s="1"/>
  <c r="K10" i="1"/>
  <c r="Q31" i="1"/>
  <c r="D53" i="1" s="1"/>
  <c r="G53" i="1" s="1"/>
  <c r="C56" i="1"/>
  <c r="E56" i="1" s="1"/>
  <c r="H56" i="1" s="1"/>
  <c r="C58" i="1"/>
  <c r="E58" i="1" s="1"/>
  <c r="H58" i="1" s="1"/>
  <c r="Q32" i="1"/>
  <c r="D54" i="1" s="1"/>
  <c r="G54" i="1" s="1"/>
  <c r="Q33" i="1"/>
  <c r="D55" i="1" s="1"/>
  <c r="G55" i="1" s="1"/>
  <c r="O35" i="1"/>
  <c r="Q35" i="1" s="1"/>
  <c r="D57" i="1" s="1"/>
  <c r="G57" i="1" s="1"/>
  <c r="F56" i="1"/>
  <c r="Q37" i="1"/>
  <c r="D59" i="1" s="1"/>
  <c r="G59" i="1" s="1"/>
  <c r="Q38" i="1"/>
  <c r="D60" i="1" s="1"/>
  <c r="G60" i="1" s="1"/>
  <c r="J37" i="1"/>
  <c r="L37" i="1" s="1"/>
  <c r="G35" i="1"/>
  <c r="L12" i="1" l="1"/>
  <c r="L11" i="1"/>
  <c r="L16" i="1"/>
  <c r="F58" i="1"/>
  <c r="L14" i="1"/>
  <c r="L15" i="1"/>
  <c r="L17" i="1"/>
  <c r="C60" i="1"/>
  <c r="F60" i="1" s="1"/>
  <c r="C53" i="1"/>
  <c r="F53" i="1" s="1"/>
  <c r="E55" i="1"/>
  <c r="H55" i="1" s="1"/>
  <c r="E54" i="1"/>
  <c r="H54" i="1" s="1"/>
  <c r="E57" i="1"/>
  <c r="H57" i="1" s="1"/>
  <c r="E59" i="1"/>
  <c r="H59" i="1" s="1"/>
  <c r="E53" i="1" l="1"/>
  <c r="H53" i="1" s="1"/>
  <c r="E60" i="1"/>
  <c r="H60" i="1" s="1"/>
</calcChain>
</file>

<file path=xl/sharedStrings.xml><?xml version="1.0" encoding="utf-8"?>
<sst xmlns="http://schemas.openxmlformats.org/spreadsheetml/2006/main" count="105" uniqueCount="44">
  <si>
    <t>(EM R$ MILHÕES CORRENTES).</t>
  </si>
  <si>
    <t>URBANO</t>
  </si>
  <si>
    <t>RURAL</t>
  </si>
  <si>
    <t>TOTAL</t>
  </si>
  <si>
    <t>ANOS</t>
  </si>
  <si>
    <t>ARRECADAÇÃO</t>
  </si>
  <si>
    <t>BENEFÍCIOS</t>
  </si>
  <si>
    <t>RESULTADO</t>
  </si>
  <si>
    <t>LÍQUIDA</t>
  </si>
  <si>
    <t>VAR.%</t>
  </si>
  <si>
    <t>Fonte: Secretaria da Previdênicia/Receita Federal/Resultado Geral do RGPS.</t>
  </si>
  <si>
    <t>http://www.previdencia.gov.br/a-previdencia/politicas-de-previdencia-social/resultados-do-RGPS/</t>
  </si>
  <si>
    <t>Receitas e despesas do Regime Próprio de Previdência dos Servidores Federais</t>
  </si>
  <si>
    <t>Em R$ 1.000,00</t>
  </si>
  <si>
    <t>SERVIDORES CIVIS</t>
  </si>
  <si>
    <t>SERVIDORES MILITARES</t>
  </si>
  <si>
    <t>RECEITAS</t>
  </si>
  <si>
    <t>DESPESAS</t>
  </si>
  <si>
    <t>Fonte</t>
  </si>
  <si>
    <t>Página</t>
  </si>
  <si>
    <t>SEM INTRA</t>
  </si>
  <si>
    <t>INTRA</t>
  </si>
  <si>
    <t>TOTAIS</t>
  </si>
  <si>
    <t>RPPS</t>
  </si>
  <si>
    <t>(*)</t>
  </si>
  <si>
    <t>nd</t>
  </si>
  <si>
    <t>RREO 6° bim.</t>
  </si>
  <si>
    <t>Fonte: RREOS 6° bimestre de cada ano/ Demonstrativo das receitas e despesas do RPPS</t>
  </si>
  <si>
    <t>(*) Liquidadas mais inscrição em restos a pagar nõa processados.</t>
  </si>
  <si>
    <t>(*) Em 2018 a fonte não considerou os restos a pagar não processados.</t>
  </si>
  <si>
    <t>Em milhões correntes</t>
  </si>
  <si>
    <t>Ano</t>
  </si>
  <si>
    <t xml:space="preserve">Regime </t>
  </si>
  <si>
    <t>Total</t>
  </si>
  <si>
    <t>Em % do PIB</t>
  </si>
  <si>
    <t>Geral (INSS)</t>
  </si>
  <si>
    <t>União</t>
  </si>
  <si>
    <t>INSS</t>
  </si>
  <si>
    <t xml:space="preserve">RPPS </t>
  </si>
  <si>
    <t>PIB</t>
  </si>
  <si>
    <t>Fonte: Secretaria da Previdência/Receita Federal/Resultado do RGPS.</t>
  </si>
  <si>
    <t>e RREO, 6° bimestre os períodos pertinentes.</t>
  </si>
  <si>
    <t>Resultado total da Previdência Federal, 2012-2020</t>
  </si>
  <si>
    <t>Resultado financeiro  do INSS, 2012-2020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</si>
</sst>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%"/>
    <numFmt numFmtId="167" formatCode="_-* #,##0_-;\-* #,##0_-;_-* &quot;-&quot;??_-;_-@_-"/>
    <numFmt numFmtId="168" formatCode="_(* #,##0_);_(* \(#,##0\);_(* &quot;-&quot;??_);_(@_)"/>
    <numFmt numFmtId="169" formatCode="#,##0.0_ ;\-#,##0.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0" fontId="0" fillId="0" borderId="1" xfId="0" applyBorder="1"/>
    <xf numFmtId="0" fontId="0" fillId="2" borderId="0" xfId="0" applyFill="1"/>
    <xf numFmtId="0" fontId="0" fillId="2" borderId="2" xfId="0" applyFill="1" applyBorder="1"/>
    <xf numFmtId="0" fontId="2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6" xfId="0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0" fillId="0" borderId="4" xfId="0" applyBorder="1"/>
    <xf numFmtId="0" fontId="0" fillId="0" borderId="0" xfId="0" applyAlignment="1">
      <alignment horizontal="center"/>
    </xf>
    <xf numFmtId="43" fontId="0" fillId="0" borderId="0" xfId="1" applyFont="1"/>
    <xf numFmtId="43" fontId="0" fillId="0" borderId="4" xfId="1" applyFont="1" applyBorder="1"/>
    <xf numFmtId="164" fontId="0" fillId="0" borderId="4" xfId="0" applyNumberFormat="1" applyBorder="1"/>
    <xf numFmtId="164" fontId="0" fillId="0" borderId="0" xfId="0" applyNumberFormat="1"/>
    <xf numFmtId="165" fontId="0" fillId="3" borderId="4" xfId="1" applyNumberFormat="1" applyFont="1" applyFill="1" applyBorder="1"/>
    <xf numFmtId="166" fontId="0" fillId="0" borderId="4" xfId="2" applyNumberFormat="1" applyFont="1" applyBorder="1"/>
    <xf numFmtId="43" fontId="0" fillId="0" borderId="1" xfId="1" applyFont="1" applyBorder="1"/>
    <xf numFmtId="164" fontId="0" fillId="0" borderId="8" xfId="0" applyNumberFormat="1" applyBorder="1"/>
    <xf numFmtId="164" fontId="0" fillId="0" borderId="1" xfId="0" applyNumberFormat="1" applyBorder="1"/>
    <xf numFmtId="0" fontId="0" fillId="0" borderId="8" xfId="0" applyBorder="1"/>
    <xf numFmtId="0" fontId="0" fillId="0" borderId="0" xfId="0" applyAlignment="1">
      <alignment horizontal="left"/>
    </xf>
    <xf numFmtId="165" fontId="0" fillId="0" borderId="0" xfId="1" applyNumberFormat="1" applyFont="1"/>
    <xf numFmtId="0" fontId="3" fillId="0" borderId="0" xfId="3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0" fillId="0" borderId="6" xfId="0" applyBorder="1"/>
    <xf numFmtId="0" fontId="0" fillId="4" borderId="0" xfId="0" applyFill="1"/>
    <xf numFmtId="167" fontId="0" fillId="0" borderId="0" xfId="1" applyNumberFormat="1" applyFont="1"/>
    <xf numFmtId="167" fontId="0" fillId="0" borderId="0" xfId="1" applyNumberFormat="1" applyFont="1" applyBorder="1"/>
    <xf numFmtId="167" fontId="0" fillId="0" borderId="4" xfId="1" applyNumberFormat="1" applyFont="1" applyBorder="1"/>
    <xf numFmtId="3" fontId="0" fillId="0" borderId="0" xfId="1" applyNumberFormat="1" applyFont="1"/>
    <xf numFmtId="167" fontId="0" fillId="0" borderId="4" xfId="1" applyNumberFormat="1" applyFont="1" applyFill="1" applyBorder="1"/>
    <xf numFmtId="3" fontId="0" fillId="0" borderId="1" xfId="0" applyNumberFormat="1" applyBorder="1"/>
    <xf numFmtId="0" fontId="4" fillId="0" borderId="6" xfId="0" applyFont="1" applyBorder="1" applyAlignment="1">
      <alignment horizontal="center"/>
    </xf>
    <xf numFmtId="3" fontId="0" fillId="0" borderId="0" xfId="0" applyNumberFormat="1"/>
    <xf numFmtId="166" fontId="0" fillId="0" borderId="0" xfId="2" applyNumberFormat="1" applyFont="1" applyBorder="1"/>
    <xf numFmtId="168" fontId="1" fillId="0" borderId="0" xfId="1" applyNumberFormat="1" applyFill="1" applyBorder="1"/>
    <xf numFmtId="168" fontId="0" fillId="0" borderId="0" xfId="1" applyNumberFormat="1" applyFont="1"/>
    <xf numFmtId="168" fontId="1" fillId="0" borderId="0" xfId="1" applyNumberFormat="1" applyFill="1" applyAlignment="1">
      <alignment horizontal="right"/>
    </xf>
    <xf numFmtId="166" fontId="2" fillId="0" borderId="1" xfId="2" applyNumberFormat="1" applyFont="1" applyFill="1" applyBorder="1"/>
    <xf numFmtId="169" fontId="2" fillId="0" borderId="1" xfId="1" applyNumberFormat="1" applyFont="1" applyFill="1" applyBorder="1"/>
    <xf numFmtId="166" fontId="5" fillId="0" borderId="8" xfId="2" applyNumberFormat="1" applyFont="1" applyFill="1" applyBorder="1"/>
    <xf numFmtId="166" fontId="5" fillId="0" borderId="1" xfId="2" applyNumberFormat="1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4">
    <cellStyle name="Hiperlink" xfId="3" builtinId="8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revidencia.gov.br/a-previdencia/politicas-de-previdencia-social/resultados-do-RGP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68C52-EBAF-4ED8-A3C4-916006F5E66B}">
  <dimension ref="B4:S64"/>
  <sheetViews>
    <sheetView tabSelected="1" workbookViewId="0">
      <selection activeCell="J64" sqref="J64"/>
    </sheetView>
  </sheetViews>
  <sheetFormatPr defaultColWidth="12.7109375" defaultRowHeight="15" x14ac:dyDescent="0.25"/>
  <cols>
    <col min="3" max="3" width="17.28515625" customWidth="1"/>
  </cols>
  <sheetData>
    <row r="4" spans="2:12" x14ac:dyDescent="0.25">
      <c r="B4" t="s">
        <v>43</v>
      </c>
      <c r="D4" s="1"/>
    </row>
    <row r="5" spans="2:12" ht="15.75" thickBot="1" x14ac:dyDescent="0.3">
      <c r="B5" s="2"/>
      <c r="C5" s="2"/>
      <c r="D5" s="2"/>
      <c r="E5" s="2"/>
      <c r="F5" s="2"/>
      <c r="G5" s="2"/>
      <c r="H5" s="2"/>
      <c r="I5" s="1" t="s">
        <v>0</v>
      </c>
      <c r="J5" s="2"/>
      <c r="K5" s="2"/>
      <c r="L5" s="2"/>
    </row>
    <row r="6" spans="2:12" x14ac:dyDescent="0.25">
      <c r="B6" s="3"/>
      <c r="C6" s="50" t="s">
        <v>1</v>
      </c>
      <c r="D6" s="50"/>
      <c r="E6" s="50"/>
      <c r="F6" s="51" t="s">
        <v>2</v>
      </c>
      <c r="G6" s="50"/>
      <c r="H6" s="50"/>
      <c r="I6" s="51" t="s">
        <v>3</v>
      </c>
      <c r="J6" s="50"/>
      <c r="K6" s="50"/>
      <c r="L6" s="4"/>
    </row>
    <row r="7" spans="2:12" x14ac:dyDescent="0.25">
      <c r="B7" s="3" t="s">
        <v>4</v>
      </c>
      <c r="C7" s="5" t="s">
        <v>5</v>
      </c>
      <c r="D7" s="5" t="s">
        <v>6</v>
      </c>
      <c r="E7" s="5" t="s">
        <v>7</v>
      </c>
      <c r="F7" s="6" t="s">
        <v>5</v>
      </c>
      <c r="G7" s="5" t="s">
        <v>6</v>
      </c>
      <c r="H7" s="5" t="s">
        <v>7</v>
      </c>
      <c r="I7" s="6" t="s">
        <v>5</v>
      </c>
      <c r="J7" s="5" t="s">
        <v>6</v>
      </c>
      <c r="K7" s="5" t="s">
        <v>7</v>
      </c>
      <c r="L7" s="7"/>
    </row>
    <row r="8" spans="2:12" x14ac:dyDescent="0.25">
      <c r="B8" s="8"/>
      <c r="C8" s="9" t="s">
        <v>8</v>
      </c>
      <c r="D8" s="9"/>
      <c r="E8" s="9"/>
      <c r="F8" s="10" t="s">
        <v>8</v>
      </c>
      <c r="G8" s="9"/>
      <c r="H8" s="9"/>
      <c r="I8" s="10" t="s">
        <v>8</v>
      </c>
      <c r="J8" s="9"/>
      <c r="K8" s="9" t="s">
        <v>3</v>
      </c>
      <c r="L8" s="10" t="s">
        <v>9</v>
      </c>
    </row>
    <row r="9" spans="2:12" x14ac:dyDescent="0.25">
      <c r="F9" s="11"/>
      <c r="I9" s="11"/>
      <c r="L9" s="11"/>
    </row>
    <row r="10" spans="2:12" x14ac:dyDescent="0.25">
      <c r="B10" s="12">
        <v>2012</v>
      </c>
      <c r="C10" s="13">
        <v>270001.59999999998</v>
      </c>
      <c r="D10" s="13">
        <v>245454.2</v>
      </c>
      <c r="E10" s="13">
        <f t="shared" ref="E10:E18" si="0">C10-D10</f>
        <v>24547.399999999965</v>
      </c>
      <c r="F10" s="14">
        <v>5763.1</v>
      </c>
      <c r="G10" s="13">
        <v>71135.399999999994</v>
      </c>
      <c r="H10" s="13">
        <f t="shared" ref="H10:H18" si="1">F10-G10</f>
        <v>-65372.299999999996</v>
      </c>
      <c r="I10" s="15">
        <f t="shared" ref="I10:J18" si="2">C10+F10</f>
        <v>275764.69999999995</v>
      </c>
      <c r="J10" s="16">
        <f t="shared" si="2"/>
        <v>316589.59999999998</v>
      </c>
      <c r="K10" s="13">
        <f t="shared" ref="K10:K18" si="3">I10-J10</f>
        <v>-40824.900000000023</v>
      </c>
      <c r="L10" s="17"/>
    </row>
    <row r="11" spans="2:12" x14ac:dyDescent="0.25">
      <c r="B11" s="12">
        <v>2013</v>
      </c>
      <c r="C11" s="13">
        <v>300990.90000000002</v>
      </c>
      <c r="D11" s="13">
        <v>276648.59999999998</v>
      </c>
      <c r="E11" s="13">
        <f t="shared" si="0"/>
        <v>24342.300000000047</v>
      </c>
      <c r="F11" s="14">
        <v>6156</v>
      </c>
      <c r="G11" s="13">
        <v>80354.5</v>
      </c>
      <c r="H11" s="13">
        <f t="shared" si="1"/>
        <v>-74198.5</v>
      </c>
      <c r="I11" s="15">
        <f t="shared" si="2"/>
        <v>307146.90000000002</v>
      </c>
      <c r="J11" s="16">
        <f t="shared" si="2"/>
        <v>357003.1</v>
      </c>
      <c r="K11" s="13">
        <f t="shared" si="3"/>
        <v>-49856.199999999953</v>
      </c>
      <c r="L11" s="18">
        <f t="shared" ref="L11:L18" si="4">K11/K10-1</f>
        <v>0.22122038265862076</v>
      </c>
    </row>
    <row r="12" spans="2:12" x14ac:dyDescent="0.25">
      <c r="B12" s="12">
        <v>2014</v>
      </c>
      <c r="C12" s="13">
        <v>330833</v>
      </c>
      <c r="D12" s="13">
        <v>305498.7</v>
      </c>
      <c r="E12" s="13">
        <f t="shared" si="0"/>
        <v>25334.299999999988</v>
      </c>
      <c r="F12" s="14">
        <v>6670.2</v>
      </c>
      <c r="G12" s="13">
        <v>88702.6</v>
      </c>
      <c r="H12" s="13">
        <f t="shared" si="1"/>
        <v>-82032.400000000009</v>
      </c>
      <c r="I12" s="15">
        <f t="shared" si="2"/>
        <v>337503.2</v>
      </c>
      <c r="J12" s="16">
        <f t="shared" si="2"/>
        <v>394201.30000000005</v>
      </c>
      <c r="K12" s="13">
        <f t="shared" si="3"/>
        <v>-56698.100000000035</v>
      </c>
      <c r="L12" s="18">
        <f t="shared" si="4"/>
        <v>0.13723268119110732</v>
      </c>
    </row>
    <row r="13" spans="2:12" x14ac:dyDescent="0.25">
      <c r="B13" s="12">
        <v>2015</v>
      </c>
      <c r="C13" s="13">
        <v>343190.7</v>
      </c>
      <c r="D13" s="13">
        <v>338049.3</v>
      </c>
      <c r="E13" s="13">
        <f t="shared" si="0"/>
        <v>5141.4000000000233</v>
      </c>
      <c r="F13" s="14">
        <v>7081.3</v>
      </c>
      <c r="G13" s="13">
        <v>98040.8</v>
      </c>
      <c r="H13" s="13">
        <f t="shared" si="1"/>
        <v>-90959.5</v>
      </c>
      <c r="I13" s="15">
        <f t="shared" si="2"/>
        <v>350272</v>
      </c>
      <c r="J13" s="16">
        <f t="shared" si="2"/>
        <v>436090.1</v>
      </c>
      <c r="K13" s="13">
        <f t="shared" si="3"/>
        <v>-85818.099999999977</v>
      </c>
      <c r="L13" s="18">
        <f t="shared" si="4"/>
        <v>0.51359745741038809</v>
      </c>
    </row>
    <row r="14" spans="2:12" x14ac:dyDescent="0.25">
      <c r="B14" s="12">
        <v>2016</v>
      </c>
      <c r="C14" s="13">
        <v>350217</v>
      </c>
      <c r="D14" s="13">
        <v>396561</v>
      </c>
      <c r="E14" s="13">
        <f t="shared" si="0"/>
        <v>-46344</v>
      </c>
      <c r="F14" s="14">
        <v>7920.3</v>
      </c>
      <c r="G14" s="13">
        <v>111310.3</v>
      </c>
      <c r="H14" s="13">
        <f t="shared" si="1"/>
        <v>-103390</v>
      </c>
      <c r="I14" s="15">
        <f t="shared" si="2"/>
        <v>358137.3</v>
      </c>
      <c r="J14" s="16">
        <f t="shared" si="2"/>
        <v>507871.3</v>
      </c>
      <c r="K14" s="13">
        <f t="shared" si="3"/>
        <v>-149734</v>
      </c>
      <c r="L14" s="18">
        <f t="shared" si="4"/>
        <v>0.7447834431198086</v>
      </c>
    </row>
    <row r="15" spans="2:12" x14ac:dyDescent="0.25">
      <c r="B15" s="12">
        <v>2017</v>
      </c>
      <c r="C15" s="13">
        <v>365484.79999999999</v>
      </c>
      <c r="D15" s="13">
        <v>437194.3</v>
      </c>
      <c r="E15" s="13">
        <f t="shared" si="0"/>
        <v>-71709.5</v>
      </c>
      <c r="F15" s="14">
        <v>9300</v>
      </c>
      <c r="G15" s="13">
        <v>120040.5</v>
      </c>
      <c r="H15" s="13">
        <f t="shared" si="1"/>
        <v>-110740.5</v>
      </c>
      <c r="I15" s="15">
        <f t="shared" si="2"/>
        <v>374784.8</v>
      </c>
      <c r="J15" s="16">
        <f t="shared" si="2"/>
        <v>557234.80000000005</v>
      </c>
      <c r="K15" s="13">
        <f t="shared" si="3"/>
        <v>-182450.00000000006</v>
      </c>
      <c r="L15" s="18">
        <f t="shared" si="4"/>
        <v>0.21849412958980641</v>
      </c>
    </row>
    <row r="16" spans="2:12" x14ac:dyDescent="0.25">
      <c r="B16" s="12">
        <v>2018</v>
      </c>
      <c r="C16" s="13">
        <v>381261.6</v>
      </c>
      <c r="D16" s="13">
        <v>462650</v>
      </c>
      <c r="E16" s="13">
        <f t="shared" si="0"/>
        <v>-81388.400000000023</v>
      </c>
      <c r="F16" s="15">
        <v>9920.2000000000007</v>
      </c>
      <c r="G16" s="16">
        <v>123728.7</v>
      </c>
      <c r="H16" s="16">
        <f t="shared" si="1"/>
        <v>-113808.5</v>
      </c>
      <c r="I16" s="15">
        <f t="shared" si="2"/>
        <v>391181.8</v>
      </c>
      <c r="J16" s="16">
        <f t="shared" si="2"/>
        <v>586378.69999999995</v>
      </c>
      <c r="K16" s="16">
        <f t="shared" si="3"/>
        <v>-195196.89999999997</v>
      </c>
      <c r="L16" s="18">
        <f t="shared" si="4"/>
        <v>6.9865168539325229E-2</v>
      </c>
    </row>
    <row r="17" spans="2:19" x14ac:dyDescent="0.25">
      <c r="B17" s="12">
        <v>2019</v>
      </c>
      <c r="C17" s="13">
        <v>404959.6</v>
      </c>
      <c r="D17" s="13">
        <f>478655.9+14427+3359.9</f>
        <v>496442.80000000005</v>
      </c>
      <c r="E17" s="13">
        <f t="shared" si="0"/>
        <v>-91483.20000000007</v>
      </c>
      <c r="F17" s="15">
        <v>8371.6</v>
      </c>
      <c r="G17" s="16">
        <f>126240.2+3827.4</f>
        <v>130067.59999999999</v>
      </c>
      <c r="H17" s="16">
        <f t="shared" si="1"/>
        <v>-121695.99999999999</v>
      </c>
      <c r="I17" s="15">
        <f t="shared" si="2"/>
        <v>413331.19999999995</v>
      </c>
      <c r="J17" s="16">
        <f t="shared" si="2"/>
        <v>626510.4</v>
      </c>
      <c r="K17" s="16">
        <f t="shared" si="3"/>
        <v>-213179.20000000007</v>
      </c>
      <c r="L17" s="18">
        <f t="shared" si="4"/>
        <v>9.212390155786343E-2</v>
      </c>
    </row>
    <row r="18" spans="2:19" x14ac:dyDescent="0.25">
      <c r="B18" s="12">
        <v>2020</v>
      </c>
      <c r="C18" s="13">
        <v>396172.9</v>
      </c>
      <c r="D18" s="13">
        <v>529172.80000000005</v>
      </c>
      <c r="E18" s="13">
        <f t="shared" si="0"/>
        <v>-132999.90000000002</v>
      </c>
      <c r="F18" s="15">
        <v>8599.6</v>
      </c>
      <c r="G18" s="16">
        <v>134731.6</v>
      </c>
      <c r="H18" s="16">
        <f t="shared" si="1"/>
        <v>-126132</v>
      </c>
      <c r="I18" s="15">
        <f t="shared" si="2"/>
        <v>404772.5</v>
      </c>
      <c r="J18" s="16">
        <f t="shared" si="2"/>
        <v>663904.4</v>
      </c>
      <c r="K18" s="16">
        <f t="shared" si="3"/>
        <v>-259131.90000000002</v>
      </c>
      <c r="L18" s="18">
        <f t="shared" si="4"/>
        <v>0.21555902264385995</v>
      </c>
    </row>
    <row r="19" spans="2:19" ht="15.75" thickBot="1" x14ac:dyDescent="0.3">
      <c r="B19" s="2"/>
      <c r="C19" s="19"/>
      <c r="D19" s="19"/>
      <c r="E19" s="19"/>
      <c r="F19" s="20"/>
      <c r="G19" s="21"/>
      <c r="H19" s="21"/>
      <c r="I19" s="20"/>
      <c r="J19" s="21"/>
      <c r="K19" s="21"/>
      <c r="L19" s="22"/>
    </row>
    <row r="20" spans="2:19" x14ac:dyDescent="0.25">
      <c r="B20" s="23" t="s">
        <v>10</v>
      </c>
      <c r="C20" s="24"/>
      <c r="D20" s="24"/>
      <c r="E20" s="24"/>
    </row>
    <row r="21" spans="2:19" x14ac:dyDescent="0.25">
      <c r="B21" s="25" t="s">
        <v>11</v>
      </c>
      <c r="C21" s="24"/>
      <c r="D21" s="24"/>
      <c r="E21" s="24"/>
      <c r="K21" s="16"/>
    </row>
    <row r="24" spans="2:19" x14ac:dyDescent="0.25">
      <c r="B24" t="s">
        <v>12</v>
      </c>
    </row>
    <row r="25" spans="2:19" x14ac:dyDescent="0.25">
      <c r="B25" t="s">
        <v>13</v>
      </c>
    </row>
    <row r="26" spans="2:19" x14ac:dyDescent="0.25">
      <c r="C26" s="1"/>
    </row>
    <row r="27" spans="2:19" ht="15.75" thickBot="1" x14ac:dyDescent="0.3">
      <c r="B27" s="2"/>
      <c r="C27" s="2"/>
      <c r="D27" s="26" t="s">
        <v>14</v>
      </c>
      <c r="E27" s="2"/>
      <c r="F27" s="2"/>
      <c r="G27" s="2"/>
      <c r="H27" s="2"/>
      <c r="I27" s="2"/>
      <c r="J27" s="26" t="s">
        <v>15</v>
      </c>
      <c r="K27" s="2"/>
      <c r="L27" s="2"/>
      <c r="M27" s="2"/>
      <c r="N27" s="2"/>
      <c r="O27" s="26" t="s">
        <v>3</v>
      </c>
      <c r="P27" s="2"/>
      <c r="Q27" s="2"/>
      <c r="R27" s="2"/>
      <c r="S27" s="2"/>
    </row>
    <row r="28" spans="2:19" x14ac:dyDescent="0.25">
      <c r="B28" s="27" t="s">
        <v>4</v>
      </c>
      <c r="C28" s="27" t="s">
        <v>16</v>
      </c>
      <c r="D28" s="27" t="s">
        <v>16</v>
      </c>
      <c r="E28" s="27" t="s">
        <v>16</v>
      </c>
      <c r="F28" s="27" t="s">
        <v>17</v>
      </c>
      <c r="G28" s="27" t="s">
        <v>7</v>
      </c>
      <c r="H28" s="28" t="s">
        <v>16</v>
      </c>
      <c r="I28" s="27" t="s">
        <v>16</v>
      </c>
      <c r="J28" s="27" t="s">
        <v>16</v>
      </c>
      <c r="K28" s="27" t="s">
        <v>17</v>
      </c>
      <c r="L28" s="27" t="s">
        <v>7</v>
      </c>
      <c r="M28" s="28" t="s">
        <v>16</v>
      </c>
      <c r="N28" s="27" t="s">
        <v>16</v>
      </c>
      <c r="O28" s="27" t="s">
        <v>16</v>
      </c>
      <c r="P28" s="27" t="s">
        <v>17</v>
      </c>
      <c r="Q28" s="27" t="s">
        <v>7</v>
      </c>
      <c r="R28" s="28" t="s">
        <v>18</v>
      </c>
      <c r="S28" s="27" t="s">
        <v>19</v>
      </c>
    </row>
    <row r="29" spans="2:19" x14ac:dyDescent="0.25">
      <c r="B29" s="29"/>
      <c r="C29" s="29" t="s">
        <v>20</v>
      </c>
      <c r="D29" s="29" t="s">
        <v>21</v>
      </c>
      <c r="E29" s="29" t="s">
        <v>22</v>
      </c>
      <c r="F29" s="29"/>
      <c r="G29" s="29" t="s">
        <v>23</v>
      </c>
      <c r="H29" s="30" t="s">
        <v>20</v>
      </c>
      <c r="I29" s="29" t="s">
        <v>21</v>
      </c>
      <c r="J29" s="29" t="s">
        <v>22</v>
      </c>
      <c r="K29" s="29"/>
      <c r="L29" s="29" t="s">
        <v>23</v>
      </c>
      <c r="M29" s="30" t="s">
        <v>20</v>
      </c>
      <c r="N29" s="29" t="s">
        <v>21</v>
      </c>
      <c r="O29" s="29" t="s">
        <v>22</v>
      </c>
      <c r="P29" s="29" t="s">
        <v>24</v>
      </c>
      <c r="Q29" s="29" t="s">
        <v>23</v>
      </c>
      <c r="R29" s="31"/>
      <c r="S29" s="32"/>
    </row>
    <row r="30" spans="2:19" x14ac:dyDescent="0.25">
      <c r="G30" s="33"/>
      <c r="H30" s="11"/>
      <c r="L30" s="33"/>
      <c r="M30" s="11"/>
      <c r="R30" s="11"/>
    </row>
    <row r="31" spans="2:19" x14ac:dyDescent="0.25">
      <c r="B31" s="12">
        <v>2012</v>
      </c>
      <c r="C31" s="34" t="s">
        <v>25</v>
      </c>
      <c r="D31" s="34" t="s">
        <v>25</v>
      </c>
      <c r="E31" s="34" t="s">
        <v>25</v>
      </c>
      <c r="F31" s="34" t="s">
        <v>25</v>
      </c>
      <c r="G31" s="35" t="s">
        <v>25</v>
      </c>
      <c r="H31" s="36" t="s">
        <v>25</v>
      </c>
      <c r="I31" s="35" t="s">
        <v>25</v>
      </c>
      <c r="J31" s="34" t="s">
        <v>25</v>
      </c>
      <c r="K31" s="34" t="s">
        <v>25</v>
      </c>
      <c r="L31" s="35" t="s">
        <v>25</v>
      </c>
      <c r="M31" s="36">
        <v>11507188</v>
      </c>
      <c r="N31" s="34">
        <v>13477528</v>
      </c>
      <c r="O31" s="34">
        <f t="shared" ref="O31:O38" si="5">M31+N31</f>
        <v>24984716</v>
      </c>
      <c r="P31" s="34">
        <f>82417505+128315</f>
        <v>82545820</v>
      </c>
      <c r="Q31" s="37">
        <f t="shared" ref="Q31:Q39" si="6">O31-P31</f>
        <v>-57561104</v>
      </c>
      <c r="R31" s="11" t="s">
        <v>26</v>
      </c>
      <c r="S31">
        <v>42</v>
      </c>
    </row>
    <row r="32" spans="2:19" x14ac:dyDescent="0.25">
      <c r="B32" s="12">
        <v>2013</v>
      </c>
      <c r="C32" s="34" t="s">
        <v>25</v>
      </c>
      <c r="D32" s="34" t="s">
        <v>25</v>
      </c>
      <c r="E32" s="34" t="s">
        <v>25</v>
      </c>
      <c r="F32" s="34" t="s">
        <v>25</v>
      </c>
      <c r="G32" s="35" t="s">
        <v>25</v>
      </c>
      <c r="H32" s="36" t="s">
        <v>25</v>
      </c>
      <c r="I32" s="35" t="s">
        <v>25</v>
      </c>
      <c r="J32" s="34" t="s">
        <v>25</v>
      </c>
      <c r="K32" s="34" t="s">
        <v>25</v>
      </c>
      <c r="L32" s="35" t="s">
        <v>25</v>
      </c>
      <c r="M32" s="36">
        <v>12342160</v>
      </c>
      <c r="N32" s="34">
        <v>14405839</v>
      </c>
      <c r="O32" s="34">
        <f t="shared" si="5"/>
        <v>26747999</v>
      </c>
      <c r="P32" s="34">
        <f>89126742+310761</f>
        <v>89437503</v>
      </c>
      <c r="Q32" s="37">
        <f t="shared" si="6"/>
        <v>-62689504</v>
      </c>
      <c r="R32" s="11" t="s">
        <v>26</v>
      </c>
      <c r="S32">
        <v>36</v>
      </c>
    </row>
    <row r="33" spans="2:19" x14ac:dyDescent="0.25">
      <c r="B33" s="12">
        <v>2014</v>
      </c>
      <c r="C33" s="34">
        <v>10917087</v>
      </c>
      <c r="D33" s="34">
        <v>16018047</v>
      </c>
      <c r="E33" s="34">
        <f t="shared" ref="E33:E39" si="7">C33+D33</f>
        <v>26935134</v>
      </c>
      <c r="F33" s="34">
        <f>64173202+204531</f>
        <v>64377733</v>
      </c>
      <c r="G33" s="35">
        <f t="shared" ref="G33:G39" si="8">E33-F33</f>
        <v>-37442599</v>
      </c>
      <c r="H33" s="36">
        <v>2343240</v>
      </c>
      <c r="I33" s="35">
        <v>0</v>
      </c>
      <c r="J33" s="34">
        <f t="shared" ref="J33:J39" si="9">H33+I33</f>
        <v>2343240</v>
      </c>
      <c r="K33" s="34">
        <v>31848797</v>
      </c>
      <c r="L33" s="34">
        <f t="shared" ref="L33:L39" si="10">J33-K33</f>
        <v>-29505557</v>
      </c>
      <c r="M33" s="36">
        <v>13260327</v>
      </c>
      <c r="N33" s="34">
        <v>16018047</v>
      </c>
      <c r="O33" s="34">
        <f t="shared" si="5"/>
        <v>29278374</v>
      </c>
      <c r="P33" s="34">
        <f>96226530</f>
        <v>96226530</v>
      </c>
      <c r="Q33" s="37">
        <f t="shared" si="6"/>
        <v>-66948156</v>
      </c>
      <c r="R33" s="11" t="s">
        <v>26</v>
      </c>
      <c r="S33">
        <v>34</v>
      </c>
    </row>
    <row r="34" spans="2:19" x14ac:dyDescent="0.25">
      <c r="B34" s="12">
        <v>2015</v>
      </c>
      <c r="C34" s="34">
        <v>11928574</v>
      </c>
      <c r="D34" s="34">
        <v>17570059</v>
      </c>
      <c r="E34" s="34">
        <f t="shared" si="7"/>
        <v>29498633</v>
      </c>
      <c r="F34" s="34">
        <f>69284708+221736</f>
        <v>69506444</v>
      </c>
      <c r="G34" s="35">
        <f t="shared" si="8"/>
        <v>-40007811</v>
      </c>
      <c r="H34" s="36">
        <v>2649783</v>
      </c>
      <c r="I34" s="35">
        <v>0</v>
      </c>
      <c r="J34" s="34">
        <f t="shared" si="9"/>
        <v>2649783</v>
      </c>
      <c r="K34" s="34">
        <v>35156564</v>
      </c>
      <c r="L34" s="34">
        <f t="shared" si="10"/>
        <v>-32506781</v>
      </c>
      <c r="M34" s="36">
        <v>14578357</v>
      </c>
      <c r="N34" s="34">
        <v>17570059</v>
      </c>
      <c r="O34" s="34">
        <f t="shared" si="5"/>
        <v>32148416</v>
      </c>
      <c r="P34" s="34">
        <f>104441272+221736</f>
        <v>104663008</v>
      </c>
      <c r="Q34" s="37">
        <f t="shared" si="6"/>
        <v>-72514592</v>
      </c>
      <c r="R34" s="11" t="s">
        <v>26</v>
      </c>
      <c r="S34">
        <v>34</v>
      </c>
    </row>
    <row r="35" spans="2:19" x14ac:dyDescent="0.25">
      <c r="B35" s="12">
        <v>2016</v>
      </c>
      <c r="C35" s="34">
        <v>12442786</v>
      </c>
      <c r="D35" s="34">
        <v>18253617</v>
      </c>
      <c r="E35" s="34">
        <f t="shared" si="7"/>
        <v>30696403</v>
      </c>
      <c r="F35" s="34">
        <f>73721191+57467</f>
        <v>73778658</v>
      </c>
      <c r="G35" s="35">
        <f t="shared" si="8"/>
        <v>-43082255</v>
      </c>
      <c r="H35" s="36">
        <v>2929514</v>
      </c>
      <c r="I35" s="35">
        <v>0</v>
      </c>
      <c r="J35" s="34">
        <f t="shared" si="9"/>
        <v>2929514</v>
      </c>
      <c r="K35" s="34">
        <v>36998811</v>
      </c>
      <c r="L35" s="34">
        <f t="shared" si="10"/>
        <v>-34069297</v>
      </c>
      <c r="M35" s="36">
        <f t="shared" ref="M35:N39" si="11">C35+H35</f>
        <v>15372300</v>
      </c>
      <c r="N35" s="34">
        <f t="shared" si="11"/>
        <v>18253617</v>
      </c>
      <c r="O35" s="34">
        <f t="shared" si="5"/>
        <v>33625917</v>
      </c>
      <c r="P35" s="34">
        <f>F35+K35</f>
        <v>110777469</v>
      </c>
      <c r="Q35" s="37">
        <f t="shared" si="6"/>
        <v>-77151552</v>
      </c>
      <c r="R35" s="11" t="s">
        <v>26</v>
      </c>
      <c r="S35">
        <v>36</v>
      </c>
    </row>
    <row r="36" spans="2:19" x14ac:dyDescent="0.25">
      <c r="B36" s="12">
        <v>2017</v>
      </c>
      <c r="C36" s="34">
        <v>13772129</v>
      </c>
      <c r="D36" s="34">
        <v>20011202</v>
      </c>
      <c r="E36" s="34">
        <f t="shared" si="7"/>
        <v>33783331</v>
      </c>
      <c r="F36" s="34">
        <f>82268890+179190</f>
        <v>82448080</v>
      </c>
      <c r="G36" s="35">
        <f t="shared" si="8"/>
        <v>-48664749</v>
      </c>
      <c r="H36" s="36">
        <v>3342763</v>
      </c>
      <c r="I36" s="35">
        <v>0</v>
      </c>
      <c r="J36" s="34">
        <f t="shared" si="9"/>
        <v>3342763</v>
      </c>
      <c r="K36" s="34">
        <v>41026959</v>
      </c>
      <c r="L36" s="34">
        <f t="shared" si="10"/>
        <v>-37684196</v>
      </c>
      <c r="M36" s="36">
        <f t="shared" si="11"/>
        <v>17114892</v>
      </c>
      <c r="N36" s="34">
        <f t="shared" si="11"/>
        <v>20011202</v>
      </c>
      <c r="O36" s="34">
        <f t="shared" si="5"/>
        <v>37126094</v>
      </c>
      <c r="P36" s="34">
        <f>F36+K36</f>
        <v>123475039</v>
      </c>
      <c r="Q36" s="37">
        <f t="shared" si="6"/>
        <v>-86348945</v>
      </c>
      <c r="R36" s="11" t="s">
        <v>26</v>
      </c>
      <c r="S36">
        <v>15</v>
      </c>
    </row>
    <row r="37" spans="2:19" x14ac:dyDescent="0.25">
      <c r="B37" s="12">
        <v>2018</v>
      </c>
      <c r="C37" s="34">
        <v>13699335</v>
      </c>
      <c r="D37" s="34">
        <v>19711557</v>
      </c>
      <c r="E37" s="34">
        <f t="shared" si="7"/>
        <v>33410892</v>
      </c>
      <c r="F37" s="34">
        <f>79850311</f>
        <v>79850311</v>
      </c>
      <c r="G37" s="35">
        <f t="shared" si="8"/>
        <v>-46439419</v>
      </c>
      <c r="H37" s="36">
        <f>2360050</f>
        <v>2360050</v>
      </c>
      <c r="I37" s="35">
        <v>0</v>
      </c>
      <c r="J37" s="34">
        <f t="shared" si="9"/>
        <v>2360050</v>
      </c>
      <c r="K37" s="34">
        <f>21412835+24797464</f>
        <v>46210299</v>
      </c>
      <c r="L37" s="34">
        <f t="shared" si="10"/>
        <v>-43850249</v>
      </c>
      <c r="M37" s="36">
        <f t="shared" si="11"/>
        <v>16059385</v>
      </c>
      <c r="N37" s="34">
        <f t="shared" si="11"/>
        <v>19711557</v>
      </c>
      <c r="O37" s="34">
        <f t="shared" si="5"/>
        <v>35770942</v>
      </c>
      <c r="P37" s="34">
        <f>F37+K37</f>
        <v>126060610</v>
      </c>
      <c r="Q37" s="37">
        <f t="shared" si="6"/>
        <v>-90289668</v>
      </c>
      <c r="R37" s="11" t="s">
        <v>26</v>
      </c>
      <c r="S37">
        <v>17</v>
      </c>
    </row>
    <row r="38" spans="2:19" x14ac:dyDescent="0.25">
      <c r="B38" s="12">
        <v>2019</v>
      </c>
      <c r="C38" s="34">
        <v>13799807</v>
      </c>
      <c r="D38" s="34">
        <v>19367138</v>
      </c>
      <c r="E38" s="34">
        <f t="shared" si="7"/>
        <v>33166945</v>
      </c>
      <c r="F38" s="34">
        <v>86213011</v>
      </c>
      <c r="G38" s="35">
        <f t="shared" si="8"/>
        <v>-53046066</v>
      </c>
      <c r="H38" s="38">
        <v>2691254</v>
      </c>
      <c r="I38" s="35">
        <v>0</v>
      </c>
      <c r="J38" s="34">
        <f t="shared" si="9"/>
        <v>2691254</v>
      </c>
      <c r="K38" s="34">
        <f>22909321+26788833</f>
        <v>49698154</v>
      </c>
      <c r="L38" s="34">
        <f t="shared" si="10"/>
        <v>-47006900</v>
      </c>
      <c r="M38" s="36">
        <f t="shared" si="11"/>
        <v>16491061</v>
      </c>
      <c r="N38" s="34">
        <f t="shared" si="11"/>
        <v>19367138</v>
      </c>
      <c r="O38" s="34">
        <f t="shared" si="5"/>
        <v>35858199</v>
      </c>
      <c r="P38" s="34">
        <f>F38+K38</f>
        <v>135911165</v>
      </c>
      <c r="Q38" s="37">
        <f t="shared" si="6"/>
        <v>-100052966</v>
      </c>
      <c r="R38" s="11" t="s">
        <v>26</v>
      </c>
      <c r="S38">
        <v>18</v>
      </c>
    </row>
    <row r="39" spans="2:19" x14ac:dyDescent="0.25">
      <c r="B39" s="12">
        <v>2020</v>
      </c>
      <c r="C39" s="34">
        <v>17206260</v>
      </c>
      <c r="D39" s="34">
        <v>22229329</v>
      </c>
      <c r="E39" s="34">
        <f t="shared" si="7"/>
        <v>39435589</v>
      </c>
      <c r="F39" s="34">
        <v>87942642</v>
      </c>
      <c r="G39" s="35">
        <f t="shared" si="8"/>
        <v>-48507053</v>
      </c>
      <c r="H39" s="38">
        <v>6651651</v>
      </c>
      <c r="I39" s="35"/>
      <c r="J39" s="34">
        <f t="shared" si="9"/>
        <v>6651651</v>
      </c>
      <c r="K39" s="34">
        <f>28091217+23436907</f>
        <v>51528124</v>
      </c>
      <c r="L39" s="34">
        <f t="shared" si="10"/>
        <v>-44876473</v>
      </c>
      <c r="M39" s="36">
        <f t="shared" si="11"/>
        <v>23857911</v>
      </c>
      <c r="N39" s="34">
        <f t="shared" ref="N39" si="12">D39+I39</f>
        <v>22229329</v>
      </c>
      <c r="O39" s="34">
        <f t="shared" ref="O39" si="13">M39+N39</f>
        <v>46087240</v>
      </c>
      <c r="P39" s="34">
        <f>F39+K39</f>
        <v>139470766</v>
      </c>
      <c r="Q39" s="37">
        <f t="shared" si="6"/>
        <v>-93383526</v>
      </c>
      <c r="R39" s="11" t="s">
        <v>26</v>
      </c>
      <c r="S39">
        <v>19</v>
      </c>
    </row>
    <row r="40" spans="2:19" ht="15.75" thickBot="1" x14ac:dyDescent="0.3">
      <c r="B40" s="2"/>
      <c r="C40" s="2"/>
      <c r="D40" s="2"/>
      <c r="E40" s="2"/>
      <c r="F40" s="2"/>
      <c r="G40" s="2"/>
      <c r="H40" s="22"/>
      <c r="I40" s="2"/>
      <c r="J40" s="2"/>
      <c r="K40" s="2"/>
      <c r="L40" s="2"/>
      <c r="M40" s="22"/>
      <c r="N40" s="2"/>
      <c r="O40" s="2"/>
      <c r="P40" s="2"/>
      <c r="Q40" s="39"/>
      <c r="R40" s="22"/>
      <c r="S40" s="2"/>
    </row>
    <row r="41" spans="2:19" x14ac:dyDescent="0.25">
      <c r="B41" s="23" t="s">
        <v>27</v>
      </c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2:19" x14ac:dyDescent="0.25">
      <c r="B42" s="34" t="s">
        <v>28</v>
      </c>
      <c r="C42" s="34"/>
      <c r="D42" s="34"/>
      <c r="E42" s="34"/>
      <c r="F42" s="34"/>
      <c r="G42" s="34"/>
      <c r="H42" s="34"/>
      <c r="I42" s="34"/>
      <c r="J42" s="34"/>
      <c r="K42" s="34"/>
      <c r="M42" s="34"/>
      <c r="N42" s="34"/>
      <c r="O42" s="34"/>
      <c r="Q42" s="34"/>
    </row>
    <row r="43" spans="2:19" x14ac:dyDescent="0.25">
      <c r="B43" t="s">
        <v>29</v>
      </c>
      <c r="C43" s="34"/>
      <c r="D43" s="34"/>
      <c r="E43" s="34"/>
      <c r="L43" s="34"/>
      <c r="M43" s="34"/>
      <c r="N43" s="34"/>
      <c r="O43" s="34"/>
      <c r="Q43" s="34"/>
    </row>
    <row r="48" spans="2:19" x14ac:dyDescent="0.25">
      <c r="B48" t="s">
        <v>42</v>
      </c>
    </row>
    <row r="49" spans="2:9" x14ac:dyDescent="0.25">
      <c r="B49" t="s">
        <v>30</v>
      </c>
    </row>
    <row r="50" spans="2:9" ht="15.75" thickBot="1" x14ac:dyDescent="0.3">
      <c r="B50" s="2"/>
      <c r="C50" s="2"/>
      <c r="D50" s="2"/>
      <c r="E50" s="2"/>
      <c r="F50" s="2"/>
      <c r="G50" s="2"/>
      <c r="H50" s="2"/>
      <c r="I50" s="2"/>
    </row>
    <row r="51" spans="2:9" x14ac:dyDescent="0.25">
      <c r="B51" s="27" t="s">
        <v>31</v>
      </c>
      <c r="C51" s="27" t="s">
        <v>32</v>
      </c>
      <c r="D51" s="27" t="s">
        <v>23</v>
      </c>
      <c r="E51" s="27" t="s">
        <v>33</v>
      </c>
      <c r="F51" s="52" t="s">
        <v>34</v>
      </c>
      <c r="G51" s="53"/>
      <c r="H51" s="53"/>
    </row>
    <row r="52" spans="2:9" x14ac:dyDescent="0.25">
      <c r="B52" s="32"/>
      <c r="C52" s="29" t="s">
        <v>35</v>
      </c>
      <c r="D52" s="29" t="s">
        <v>36</v>
      </c>
      <c r="E52" s="32"/>
      <c r="F52" s="30" t="s">
        <v>37</v>
      </c>
      <c r="G52" s="29" t="s">
        <v>38</v>
      </c>
      <c r="H52" s="29" t="s">
        <v>33</v>
      </c>
      <c r="I52" s="40" t="s">
        <v>39</v>
      </c>
    </row>
    <row r="53" spans="2:9" x14ac:dyDescent="0.25">
      <c r="B53" s="12">
        <v>2012</v>
      </c>
      <c r="C53" s="41">
        <f t="shared" ref="C53:C61" si="14">K10</f>
        <v>-40824.900000000023</v>
      </c>
      <c r="D53" s="37">
        <f t="shared" ref="D53:D61" si="15">Q31/1000</f>
        <v>-57561.103999999999</v>
      </c>
      <c r="E53" s="41">
        <f>C53+D53</f>
        <v>-98386.004000000015</v>
      </c>
      <c r="F53" s="18">
        <f>C53/I53</f>
        <v>-8.4791142237619372E-3</v>
      </c>
      <c r="G53" s="42">
        <f>D53/I53</f>
        <v>-1.195513462768653E-2</v>
      </c>
      <c r="H53" s="42">
        <f>E53/I53</f>
        <v>-2.0434248851448466E-2</v>
      </c>
      <c r="I53" s="43">
        <v>4814760</v>
      </c>
    </row>
    <row r="54" spans="2:9" x14ac:dyDescent="0.25">
      <c r="B54" s="12">
        <v>2013</v>
      </c>
      <c r="C54" s="41">
        <f t="shared" si="14"/>
        <v>-49856.199999999953</v>
      </c>
      <c r="D54" s="37">
        <f t="shared" si="15"/>
        <v>-62689.504000000001</v>
      </c>
      <c r="E54" s="41">
        <f t="shared" ref="E54:E61" si="16">C54+D54</f>
        <v>-112545.70399999995</v>
      </c>
      <c r="F54" s="18">
        <f t="shared" ref="F54:F60" si="17">C54/I54</f>
        <v>-9.3510432759730117E-3</v>
      </c>
      <c r="G54" s="42">
        <f t="shared" ref="G54:G60" si="18">D54/I54</f>
        <v>-1.1758061481887584E-2</v>
      </c>
      <c r="H54" s="42">
        <f t="shared" ref="H54:H60" si="19">E54/I54</f>
        <v>-2.1109104757860597E-2</v>
      </c>
      <c r="I54" s="43">
        <v>5331619</v>
      </c>
    </row>
    <row r="55" spans="2:9" x14ac:dyDescent="0.25">
      <c r="B55" s="12">
        <v>2014</v>
      </c>
      <c r="C55" s="41">
        <f t="shared" si="14"/>
        <v>-56698.100000000035</v>
      </c>
      <c r="D55" s="37">
        <f t="shared" si="15"/>
        <v>-66948.156000000003</v>
      </c>
      <c r="E55" s="41">
        <f t="shared" si="16"/>
        <v>-123646.25600000004</v>
      </c>
      <c r="F55" s="18">
        <f t="shared" si="17"/>
        <v>-9.8111370692926612E-3</v>
      </c>
      <c r="G55" s="42">
        <f t="shared" si="18"/>
        <v>-1.1584824448304044E-2</v>
      </c>
      <c r="H55" s="42">
        <f t="shared" si="19"/>
        <v>-2.1395961517596707E-2</v>
      </c>
      <c r="I55" s="43">
        <v>5778953</v>
      </c>
    </row>
    <row r="56" spans="2:9" x14ac:dyDescent="0.25">
      <c r="B56" s="12">
        <v>2015</v>
      </c>
      <c r="C56" s="41">
        <f t="shared" si="14"/>
        <v>-85818.099999999977</v>
      </c>
      <c r="D56" s="37">
        <f t="shared" si="15"/>
        <v>-72514.592000000004</v>
      </c>
      <c r="E56" s="41">
        <f t="shared" si="16"/>
        <v>-158332.69199999998</v>
      </c>
      <c r="F56" s="18">
        <f t="shared" si="17"/>
        <v>-1.4313066825089012E-2</v>
      </c>
      <c r="G56" s="42">
        <f t="shared" si="18"/>
        <v>-1.209425751782043E-2</v>
      </c>
      <c r="H56" s="42">
        <f t="shared" si="19"/>
        <v>-2.6407324342909443E-2</v>
      </c>
      <c r="I56" s="43">
        <v>5995787</v>
      </c>
    </row>
    <row r="57" spans="2:9" x14ac:dyDescent="0.25">
      <c r="B57" s="12">
        <v>2016</v>
      </c>
      <c r="C57" s="41">
        <f t="shared" si="14"/>
        <v>-149734</v>
      </c>
      <c r="D57" s="37">
        <f t="shared" si="15"/>
        <v>-77151.551999999996</v>
      </c>
      <c r="E57" s="41">
        <f t="shared" si="16"/>
        <v>-226885.552</v>
      </c>
      <c r="F57" s="18">
        <f t="shared" si="17"/>
        <v>-2.3922120272026753E-2</v>
      </c>
      <c r="G57" s="42">
        <f t="shared" si="18"/>
        <v>-1.2326049568685309E-2</v>
      </c>
      <c r="H57" s="42">
        <f t="shared" si="19"/>
        <v>-3.6248169840712059E-2</v>
      </c>
      <c r="I57" s="44">
        <v>6259227.7899000002</v>
      </c>
    </row>
    <row r="58" spans="2:9" x14ac:dyDescent="0.25">
      <c r="B58" s="12">
        <v>2017</v>
      </c>
      <c r="C58" s="41">
        <f t="shared" si="14"/>
        <v>-182450.00000000006</v>
      </c>
      <c r="D58" s="37">
        <f t="shared" si="15"/>
        <v>-86348.945000000007</v>
      </c>
      <c r="E58" s="41">
        <f t="shared" si="16"/>
        <v>-268798.94500000007</v>
      </c>
      <c r="F58" s="18">
        <f t="shared" si="17"/>
        <v>-2.7713984389940705E-2</v>
      </c>
      <c r="G58" s="42">
        <f t="shared" si="18"/>
        <v>-1.3116324000097825E-2</v>
      </c>
      <c r="H58" s="42">
        <f t="shared" si="19"/>
        <v>-4.0830308390038532E-2</v>
      </c>
      <c r="I58" s="44">
        <v>6583319</v>
      </c>
    </row>
    <row r="59" spans="2:9" x14ac:dyDescent="0.25">
      <c r="B59" s="12">
        <v>2018</v>
      </c>
      <c r="C59" s="41">
        <f t="shared" si="14"/>
        <v>-195196.89999999997</v>
      </c>
      <c r="D59" s="37">
        <f t="shared" si="15"/>
        <v>-90289.668000000005</v>
      </c>
      <c r="E59" s="41">
        <f t="shared" si="16"/>
        <v>-285486.56799999997</v>
      </c>
      <c r="F59" s="18">
        <f t="shared" si="17"/>
        <v>-2.8333852989094771E-2</v>
      </c>
      <c r="G59" s="42">
        <f t="shared" si="18"/>
        <v>-1.3106018484648964E-2</v>
      </c>
      <c r="H59" s="42">
        <f t="shared" si="19"/>
        <v>-4.1439871473743735E-2</v>
      </c>
      <c r="I59" s="44">
        <v>6889176</v>
      </c>
    </row>
    <row r="60" spans="2:9" x14ac:dyDescent="0.25">
      <c r="B60" s="12">
        <v>2019</v>
      </c>
      <c r="C60" s="41">
        <f t="shared" si="14"/>
        <v>-213179.20000000007</v>
      </c>
      <c r="D60" s="37">
        <f t="shared" si="15"/>
        <v>-100052.966</v>
      </c>
      <c r="E60" s="41">
        <f t="shared" si="16"/>
        <v>-313232.16600000008</v>
      </c>
      <c r="F60" s="18">
        <f t="shared" si="17"/>
        <v>-2.936887762336093E-2</v>
      </c>
      <c r="G60" s="42">
        <f t="shared" si="18"/>
        <v>-1.3783911912176662E-2</v>
      </c>
      <c r="H60" s="42">
        <f t="shared" si="19"/>
        <v>-4.315278953553759E-2</v>
      </c>
      <c r="I60" s="45">
        <v>7258677.1184756011</v>
      </c>
    </row>
    <row r="61" spans="2:9" x14ac:dyDescent="0.25">
      <c r="B61" s="12">
        <v>2020</v>
      </c>
      <c r="C61" s="41">
        <f t="shared" si="14"/>
        <v>-259131.90000000002</v>
      </c>
      <c r="D61" s="37">
        <f t="shared" si="15"/>
        <v>-93383.525999999998</v>
      </c>
      <c r="E61" s="41">
        <f t="shared" si="16"/>
        <v>-352515.42600000004</v>
      </c>
      <c r="F61" s="18">
        <f t="shared" ref="F61" si="20">C61/I61</f>
        <v>-3.4969051947952058E-2</v>
      </c>
      <c r="G61" s="42">
        <f t="shared" ref="G61" si="21">D61/I61</f>
        <v>-1.260181927341609E-2</v>
      </c>
      <c r="H61" s="42">
        <f t="shared" ref="H61" si="22">E61/I61</f>
        <v>-4.7570871221368147E-2</v>
      </c>
      <c r="I61" s="45">
        <v>7410321</v>
      </c>
    </row>
    <row r="62" spans="2:9" ht="15.75" thickBot="1" x14ac:dyDescent="0.3">
      <c r="B62" s="26"/>
      <c r="C62" s="46"/>
      <c r="D62" s="47"/>
      <c r="E62" s="46"/>
      <c r="F62" s="48"/>
      <c r="G62" s="49"/>
      <c r="H62" s="49"/>
      <c r="I62" s="2"/>
    </row>
    <row r="63" spans="2:9" x14ac:dyDescent="0.25">
      <c r="B63" s="23" t="s">
        <v>40</v>
      </c>
    </row>
    <row r="64" spans="2:9" x14ac:dyDescent="0.25">
      <c r="B64" t="s">
        <v>41</v>
      </c>
    </row>
  </sheetData>
  <mergeCells count="4">
    <mergeCell ref="C6:E6"/>
    <mergeCell ref="F6:H6"/>
    <mergeCell ref="I6:K6"/>
    <mergeCell ref="F51:H51"/>
  </mergeCells>
  <hyperlinks>
    <hyperlink ref="B21" r:id="rId1" xr:uid="{F47F3E72-9BD4-4C6A-8D06-8428885DD769}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Darcy Santos</dc:creator>
  <cp:lastModifiedBy>Darcy Santos</cp:lastModifiedBy>
  <dcterms:created xsi:type="dcterms:W3CDTF">2021-03-10T18:35:40Z</dcterms:created>
  <dcterms:modified xsi:type="dcterms:W3CDTF">2021-03-11T13:15:12Z</dcterms:modified>
</cp:coreProperties>
</file>